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man\Rollenspiel\Elasura - Orga\Diverses\"/>
    </mc:Choice>
  </mc:AlternateContent>
  <workbookProtection workbookAlgorithmName="SHA-512" workbookHashValue="iaLkD1wcWGIKzRHtilA9MWqvGbm4pZNMAQoE3RLliXGIqJhD+xmymlgezdTmQclEqzlsz/JSIEUiX0hr4dqYlg==" workbookSaltValue="s2bCcSaMJG/y9yCfEYOjKQ==" workbookSpinCount="100000" lockStructure="1"/>
  <bookViews>
    <workbookView xWindow="0" yWindow="0" windowWidth="28800" windowHeight="12435"/>
  </bookViews>
  <sheets>
    <sheet name="Bauvorhaben" sheetId="7" r:id="rId1"/>
    <sheet name="Kostenrechner" sheetId="6" r:id="rId2"/>
    <sheet name="Preisliste" sheetId="5" state="hidden" r:id="rId3"/>
  </sheets>
  <definedNames>
    <definedName name="Grundstück" localSheetId="1">Kostenrechner!$A$95:$D$103</definedName>
    <definedName name="Grundstück">#REF!</definedName>
    <definedName name="Grundstückslage">#REF!</definedName>
    <definedName name="hiehenu" localSheetId="1">Kostenrechner!#REF!</definedName>
    <definedName name="hiehenu">#REF!</definedName>
    <definedName name="JaNein" localSheetId="1">Kostenrechner!#REF!</definedName>
    <definedName name="JaNein">#REF!</definedName>
  </definedNames>
  <calcPr calcId="152511"/>
</workbook>
</file>

<file path=xl/calcChain.xml><?xml version="1.0" encoding="utf-8"?>
<calcChain xmlns="http://schemas.openxmlformats.org/spreadsheetml/2006/main">
  <c r="I3" i="6" l="1"/>
  <c r="D30" i="6" l="1"/>
  <c r="D14" i="7" l="1"/>
  <c r="F28" i="6"/>
  <c r="F27" i="6"/>
  <c r="I9" i="6"/>
  <c r="I20" i="6"/>
  <c r="I19" i="6"/>
  <c r="I33" i="6"/>
  <c r="I34" i="6" s="1"/>
  <c r="H34" i="6"/>
  <c r="D11" i="6"/>
  <c r="D25" i="6"/>
  <c r="I26" i="6"/>
  <c r="H29" i="6"/>
  <c r="I28" i="6"/>
  <c r="I27" i="6"/>
  <c r="I25" i="6"/>
  <c r="I18" i="6"/>
  <c r="I11" i="6"/>
  <c r="I16" i="6"/>
  <c r="I13" i="6"/>
  <c r="I12" i="6"/>
  <c r="I14" i="6"/>
  <c r="I6" i="6"/>
  <c r="D29" i="6"/>
  <c r="I5" i="6"/>
  <c r="I4" i="6"/>
  <c r="I8" i="6"/>
  <c r="D27" i="6"/>
  <c r="D16" i="6"/>
  <c r="D24" i="6"/>
  <c r="D23" i="6"/>
  <c r="D22" i="6"/>
  <c r="D3" i="6"/>
  <c r="D17" i="6"/>
  <c r="D14" i="6"/>
  <c r="D13" i="6"/>
  <c r="D9" i="6"/>
  <c r="B32" i="6" l="1"/>
  <c r="B5" i="6"/>
  <c r="D13" i="7" s="1"/>
  <c r="G21" i="6"/>
  <c r="B18" i="6"/>
  <c r="I29" i="6"/>
  <c r="D15" i="7" l="1"/>
  <c r="D28" i="7" s="1"/>
  <c r="D31" i="7" s="1"/>
  <c r="D16" i="7" l="1"/>
  <c r="D17" i="7"/>
  <c r="D18" i="7" l="1"/>
  <c r="D21" i="7" s="1"/>
  <c r="A21" i="7" s="1"/>
  <c r="D19" i="7" l="1"/>
  <c r="D20" i="7" s="1"/>
  <c r="B20" i="7" s="1"/>
  <c r="D24" i="7"/>
</calcChain>
</file>

<file path=xl/sharedStrings.xml><?xml version="1.0" encoding="utf-8"?>
<sst xmlns="http://schemas.openxmlformats.org/spreadsheetml/2006/main" count="191" uniqueCount="149">
  <si>
    <t>Grundstückslage</t>
  </si>
  <si>
    <t>Grundstücksfläche</t>
  </si>
  <si>
    <t>Grundstück</t>
  </si>
  <si>
    <t>Normal</t>
  </si>
  <si>
    <t>Fläche</t>
  </si>
  <si>
    <t>Gemäuerart</t>
  </si>
  <si>
    <t>Zahl der Fenster</t>
  </si>
  <si>
    <t>Fensterart</t>
  </si>
  <si>
    <t>Ölpapier</t>
  </si>
  <si>
    <t>Glasscheiben</t>
  </si>
  <si>
    <t>Ja</t>
  </si>
  <si>
    <t>Nein</t>
  </si>
  <si>
    <t>Beiwerk</t>
  </si>
  <si>
    <t>Brunnen</t>
  </si>
  <si>
    <t>Gepflasterter Hof</t>
  </si>
  <si>
    <t>gepflasterter Hof in m²</t>
  </si>
  <si>
    <t>Tor</t>
  </si>
  <si>
    <t>Mannloch</t>
  </si>
  <si>
    <t>Zugbrücke</t>
  </si>
  <si>
    <t>Fallgatter</t>
  </si>
  <si>
    <t>Breit</t>
  </si>
  <si>
    <t>Anzahl</t>
  </si>
  <si>
    <t>Stadt</t>
  </si>
  <si>
    <t>Mauer</t>
  </si>
  <si>
    <t>Umland</t>
  </si>
  <si>
    <t>Dorf/Stadtnähe</t>
  </si>
  <si>
    <t>Abgelegen</t>
  </si>
  <si>
    <t>Grundstückspreis</t>
  </si>
  <si>
    <t>Lage</t>
  </si>
  <si>
    <t>Gebäude</t>
  </si>
  <si>
    <t>Kellerfläche</t>
  </si>
  <si>
    <t>Holzhaus</t>
  </si>
  <si>
    <t>Fachwerkhaus</t>
  </si>
  <si>
    <t>Steinhaus</t>
  </si>
  <si>
    <t>Obergeschosse</t>
  </si>
  <si>
    <t xml:space="preserve">Fenster </t>
  </si>
  <si>
    <t>Mauerwerk (pro m²)</t>
  </si>
  <si>
    <t>Keller (pro m²)</t>
  </si>
  <si>
    <t>nur Fensterläden</t>
  </si>
  <si>
    <t>Wirtschaftsgebäude</t>
  </si>
  <si>
    <t>Keine Mauer</t>
  </si>
  <si>
    <t>Wehrtum</t>
  </si>
  <si>
    <t>Wehrturm</t>
  </si>
  <si>
    <t>Dach</t>
  </si>
  <si>
    <t>Einfaches Dach</t>
  </si>
  <si>
    <t>Festes Dach</t>
  </si>
  <si>
    <t>Geheimgang</t>
  </si>
  <si>
    <t>Motte (Hügel)</t>
  </si>
  <si>
    <t>Zugbrücke für normales Tor</t>
  </si>
  <si>
    <t>Zugbrücke für breites Tor</t>
  </si>
  <si>
    <t xml:space="preserve">Fallgatter für normales Tor </t>
  </si>
  <si>
    <t>Fallgatter für breites Tor</t>
  </si>
  <si>
    <t>Torhaus aus Holz</t>
  </si>
  <si>
    <t>Torhaus aus Fachwerk</t>
  </si>
  <si>
    <t>Torhaus aus Stein</t>
  </si>
  <si>
    <t>Zinnenwehr aus Holz</t>
  </si>
  <si>
    <t>Zinnenwehr aus Stein</t>
  </si>
  <si>
    <t>Schanzkleider</t>
  </si>
  <si>
    <t>als Wehranlage erbaut?</t>
  </si>
  <si>
    <t>Angespitzte Hölzer im Graben</t>
  </si>
  <si>
    <t>Höhe/Tiefe</t>
  </si>
  <si>
    <t>Erdwall /Graben</t>
  </si>
  <si>
    <t>Länge</t>
  </si>
  <si>
    <t>Höhe</t>
  </si>
  <si>
    <t>Wehrmauer (3m)</t>
  </si>
  <si>
    <t>Hofmauer (2m)</t>
  </si>
  <si>
    <t>Palisade (3m)</t>
  </si>
  <si>
    <t>Keine</t>
  </si>
  <si>
    <t>Wehrmauer (3m) mit Schüttwerk</t>
  </si>
  <si>
    <t>Holzwall (3m) mit Schüttwerk</t>
  </si>
  <si>
    <t>Massive Wehrmauer (3m)</t>
  </si>
  <si>
    <t>Massive, hohe Wehrmauer (6m)</t>
  </si>
  <si>
    <t>Zinnen</t>
  </si>
  <si>
    <t>keine Zinnenwehr</t>
  </si>
  <si>
    <t>kein Torhaus</t>
  </si>
  <si>
    <t>Torhaus</t>
  </si>
  <si>
    <t>Erweiterung der Mauer</t>
  </si>
  <si>
    <t>Typ</t>
  </si>
  <si>
    <t>Bauart</t>
  </si>
  <si>
    <t>12 Meter</t>
  </si>
  <si>
    <t>Schanzkleid</t>
  </si>
  <si>
    <t>Ausbau zu einer Burg</t>
  </si>
  <si>
    <t>Aussichtsturm</t>
  </si>
  <si>
    <t>kein Wachturm</t>
  </si>
  <si>
    <t>Wachturm aus Holz</t>
  </si>
  <si>
    <t>Wachturm aus Fachwerk</t>
  </si>
  <si>
    <t>Wachturm aus Stein</t>
  </si>
  <si>
    <t>Hohe Wehrmauer (6m) mit Schüttwerk</t>
  </si>
  <si>
    <t>Bauweise "Motte"</t>
  </si>
  <si>
    <t>Geheimgänge</t>
  </si>
  <si>
    <t>Vornehme Bewohner (40m² pro Kopf)</t>
  </si>
  <si>
    <t>Grundstückswert</t>
  </si>
  <si>
    <t>Platzbedarf für Gebäude</t>
  </si>
  <si>
    <t>Platzbedarf für Wirtschaftsgebäude</t>
  </si>
  <si>
    <t>Pferd (14m² pro Tier)</t>
  </si>
  <si>
    <t>Mange</t>
  </si>
  <si>
    <t>Trebuchet</t>
  </si>
  <si>
    <t>Mange (Artillerie)*</t>
  </si>
  <si>
    <t>Trebuchet (Artillerie)**</t>
  </si>
  <si>
    <t>(*pro Torhaus sind 2 Stück möglich, pro Turm 1 Stück) (**pro Stück mind. 60m² unverbaute Fläche)</t>
  </si>
  <si>
    <t>3 meter</t>
  </si>
  <si>
    <t>6 meter</t>
  </si>
  <si>
    <t>9 meter</t>
  </si>
  <si>
    <t>12 meter</t>
  </si>
  <si>
    <t>Baukosten</t>
  </si>
  <si>
    <t>Kosten für das Grundstück</t>
  </si>
  <si>
    <t xml:space="preserve"> Bauvorhaben</t>
  </si>
  <si>
    <t>Bau durch Fronarbeit</t>
  </si>
  <si>
    <t>Hohe Bedienstete (mind. 3P)(14m² pro Kopf)</t>
  </si>
  <si>
    <t>Hohes Adelshaus</t>
  </si>
  <si>
    <t>Krone</t>
  </si>
  <si>
    <t>Landadel</t>
  </si>
  <si>
    <t>Ritter</t>
  </si>
  <si>
    <t>Grundherr</t>
  </si>
  <si>
    <t>Stand</t>
  </si>
  <si>
    <t>Bürger</t>
  </si>
  <si>
    <t>Gemeiner</t>
  </si>
  <si>
    <t>- Bautätigkeit durch Frondienst</t>
  </si>
  <si>
    <t>+ Zuschlag für Verfügbarkeit und Transportkosten der Materialien</t>
  </si>
  <si>
    <t>Gebäudeerhalt</t>
  </si>
  <si>
    <t>Laufende Kosten</t>
  </si>
  <si>
    <t>Gebäudewert</t>
  </si>
  <si>
    <t>muss angekauft werden</t>
  </si>
  <si>
    <t>bereits im Besitz</t>
  </si>
  <si>
    <t>auf eigenem Lehnsgebiet</t>
  </si>
  <si>
    <t>ist eine Schenkung</t>
  </si>
  <si>
    <t>Diverses</t>
  </si>
  <si>
    <t>Kosten für das Bauvorhaben</t>
  </si>
  <si>
    <t>Bauherr / Eigentümer</t>
  </si>
  <si>
    <t>Standort</t>
  </si>
  <si>
    <t>Name des Bauwerks</t>
  </si>
  <si>
    <t>Beschreibung</t>
  </si>
  <si>
    <t>Steg /Pier</t>
  </si>
  <si>
    <t>Material</t>
  </si>
  <si>
    <t>Holz (3m)</t>
  </si>
  <si>
    <t>Holz (1.5m)</t>
  </si>
  <si>
    <t>Stein (3m)</t>
  </si>
  <si>
    <t>Stein (1,5m)</t>
  </si>
  <si>
    <t>davon Arbeitskraft</t>
  </si>
  <si>
    <t>Art des Bauvorhabens</t>
  </si>
  <si>
    <t>Ausstattung</t>
  </si>
  <si>
    <t>Karg</t>
  </si>
  <si>
    <t>Funktional</t>
  </si>
  <si>
    <t>Bürgerlich</t>
  </si>
  <si>
    <t>Repräsentativ</t>
  </si>
  <si>
    <t>Prunkvoll</t>
  </si>
  <si>
    <t>Allgemeines</t>
  </si>
  <si>
    <t>Email</t>
  </si>
  <si>
    <t>Ersteller (OT)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</si>
</sst>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\ &quot;Stück&quot;"/>
    <numFmt numFmtId="165" formatCode="#,##0\ &quot;m²&quot;"/>
    <numFmt numFmtId="166" formatCode="#,##0\ &quot;kr&quot;"/>
    <numFmt numFmtId="167" formatCode="\1\ &quot;Stück&quot;"/>
    <numFmt numFmtId="168" formatCode="##,##0\ &quot;Meter&quot;"/>
    <numFmt numFmtId="169" formatCode="#,##0\ &quot;P&quot;"/>
    <numFmt numFmtId="170" formatCode="0\ &quot;meter&quot;"/>
    <numFmt numFmtId="171" formatCode="0\ &quot;Stk&quot;"/>
    <numFmt numFmtId="172" formatCode="0\ &quot;m²&quot;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7"/>
      <color theme="1" tint="0.34998626667073579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20"/>
      <color theme="1"/>
      <name val="Old English Text MT"/>
      <family val="4"/>
    </font>
    <font>
      <sz val="12"/>
      <color theme="0"/>
      <name val="Old English Text MT"/>
      <family val="4"/>
    </font>
    <font>
      <sz val="12"/>
      <color theme="0" tint="-4.9989318521683403E-2"/>
      <name val="Old English Text MT"/>
      <family val="4"/>
    </font>
    <font>
      <b/>
      <sz val="11"/>
      <color theme="0" tint="-4.9989318521683403E-2"/>
      <name val="Calibri"/>
      <family val="2"/>
      <scheme val="minor"/>
    </font>
    <font>
      <sz val="7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Border="1"/>
    <xf numFmtId="170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166" fontId="12" fillId="0" borderId="0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6" fontId="8" fillId="2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9" fontId="14" fillId="5" borderId="1" xfId="0" applyNumberFormat="1" applyFont="1" applyFill="1" applyBorder="1" applyAlignment="1" applyProtection="1">
      <alignment vertical="center"/>
    </xf>
    <xf numFmtId="165" fontId="14" fillId="5" borderId="1" xfId="0" applyNumberFormat="1" applyFont="1" applyFill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6" fontId="10" fillId="0" borderId="0" xfId="0" applyNumberFormat="1" applyFont="1" applyFill="1" applyBorder="1" applyAlignment="1" applyProtection="1">
      <alignment horizontal="right" vertical="center"/>
    </xf>
    <xf numFmtId="171" fontId="14" fillId="5" borderId="1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1" fontId="4" fillId="3" borderId="1" xfId="0" applyNumberFormat="1" applyFont="1" applyFill="1" applyBorder="1" applyAlignment="1" applyProtection="1">
      <alignment vertical="center"/>
      <protection locked="0"/>
    </xf>
    <xf numFmtId="169" fontId="4" fillId="3" borderId="1" xfId="0" applyNumberFormat="1" applyFont="1" applyFill="1" applyBorder="1" applyAlignment="1" applyProtection="1">
      <alignment vertical="center"/>
      <protection locked="0"/>
    </xf>
    <xf numFmtId="170" fontId="4" fillId="3" borderId="1" xfId="0" applyNumberFormat="1" applyFont="1" applyFill="1" applyBorder="1" applyAlignment="1" applyProtection="1">
      <alignment vertical="center"/>
      <protection locked="0"/>
    </xf>
    <xf numFmtId="165" fontId="8" fillId="2" borderId="1" xfId="0" applyNumberFormat="1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166" fontId="6" fillId="5" borderId="1" xfId="0" applyNumberFormat="1" applyFont="1" applyFill="1" applyBorder="1" applyAlignment="1" applyProtection="1">
      <alignment horizontal="right" vertical="center"/>
    </xf>
    <xf numFmtId="166" fontId="11" fillId="2" borderId="1" xfId="0" applyNumberFormat="1" applyFont="1" applyFill="1" applyBorder="1" applyAlignment="1" applyProtection="1">
      <alignment vertical="center"/>
    </xf>
    <xf numFmtId="166" fontId="18" fillId="5" borderId="12" xfId="0" applyNumberFormat="1" applyFont="1" applyFill="1" applyBorder="1" applyAlignment="1" applyProtection="1">
      <alignment vertical="center"/>
    </xf>
    <xf numFmtId="166" fontId="7" fillId="5" borderId="1" xfId="0" applyNumberFormat="1" applyFont="1" applyFill="1" applyBorder="1" applyAlignment="1" applyProtection="1">
      <alignment vertical="center"/>
    </xf>
    <xf numFmtId="171" fontId="4" fillId="3" borderId="1" xfId="0" applyNumberFormat="1" applyFont="1" applyFill="1" applyBorder="1" applyAlignment="1" applyProtection="1">
      <alignment horizontal="right" vertical="center"/>
      <protection locked="0"/>
    </xf>
    <xf numFmtId="172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left" vertical="center"/>
    </xf>
    <xf numFmtId="166" fontId="13" fillId="2" borderId="2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vertical="center"/>
    </xf>
    <xf numFmtId="166" fontId="13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170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2" borderId="1" xfId="0" applyNumberFormat="1" applyFont="1" applyFill="1" applyBorder="1" applyAlignment="1" applyProtection="1">
      <alignment horizontal="center" vertical="center"/>
    </xf>
    <xf numFmtId="166" fontId="19" fillId="2" borderId="1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49" fontId="11" fillId="2" borderId="11" xfId="0" applyNumberFormat="1" applyFont="1" applyFill="1" applyBorder="1" applyAlignment="1" applyProtection="1">
      <alignment horizontal="left" vertical="center"/>
    </xf>
    <xf numFmtId="49" fontId="11" fillId="2" borderId="13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vertical="center"/>
    </xf>
    <xf numFmtId="166" fontId="13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</xf>
    <xf numFmtId="166" fontId="13" fillId="2" borderId="3" xfId="0" applyNumberFormat="1" applyFont="1" applyFill="1" applyBorder="1" applyAlignment="1" applyProtection="1">
      <alignment horizontal="right" vertical="center"/>
    </xf>
    <xf numFmtId="166" fontId="13" fillId="2" borderId="2" xfId="0" applyNumberFormat="1" applyFont="1" applyFill="1" applyBorder="1" applyAlignment="1" applyProtection="1">
      <alignment horizontal="right" vertical="center"/>
    </xf>
    <xf numFmtId="172" fontId="4" fillId="3" borderId="11" xfId="0" applyNumberFormat="1" applyFont="1" applyFill="1" applyBorder="1" applyAlignment="1" applyProtection="1">
      <alignment horizontal="right" vertical="center"/>
      <protection locked="0"/>
    </xf>
    <xf numFmtId="172" fontId="4" fillId="3" borderId="10" xfId="0" applyNumberFormat="1" applyFont="1" applyFill="1" applyBorder="1" applyAlignment="1" applyProtection="1">
      <alignment horizontal="right" vertical="center"/>
      <protection locked="0"/>
    </xf>
    <xf numFmtId="172" fontId="4" fillId="3" borderId="13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171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172" fontId="4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166" fontId="14" fillId="5" borderId="1" xfId="0" applyNumberFormat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16" fillId="4" borderId="4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164" fontId="4" fillId="3" borderId="11" xfId="0" applyNumberFormat="1" applyFont="1" applyFill="1" applyBorder="1" applyAlignment="1" applyProtection="1">
      <alignment horizontal="right" vertical="center"/>
      <protection locked="0"/>
    </xf>
    <xf numFmtId="164" fontId="4" fillId="3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166" fontId="14" fillId="5" borderId="11" xfId="0" applyNumberFormat="1" applyFont="1" applyFill="1" applyBorder="1" applyAlignment="1" applyProtection="1">
      <alignment horizontal="right" vertical="center"/>
    </xf>
    <xf numFmtId="166" fontId="14" fillId="5" borderId="10" xfId="0" applyNumberFormat="1" applyFont="1" applyFill="1" applyBorder="1" applyAlignment="1" applyProtection="1">
      <alignment horizontal="right" vertical="center"/>
    </xf>
    <xf numFmtId="166" fontId="14" fillId="5" borderId="13" xfId="0" applyNumberFormat="1" applyFont="1" applyFill="1" applyBorder="1" applyAlignment="1" applyProtection="1">
      <alignment horizontal="right" vertical="center"/>
    </xf>
    <xf numFmtId="166" fontId="14" fillId="5" borderId="2" xfId="0" applyNumberFormat="1" applyFont="1" applyFill="1" applyBorder="1" applyAlignment="1" applyProtection="1">
      <alignment horizontal="right" vertical="center"/>
    </xf>
    <xf numFmtId="0" fontId="14" fillId="5" borderId="2" xfId="0" applyFont="1" applyFill="1" applyBorder="1" applyAlignment="1" applyProtection="1">
      <alignment horizontal="right" vertical="center"/>
    </xf>
    <xf numFmtId="168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 applyProtection="1">
      <alignment horizontal="right" vertical="center"/>
      <protection locked="0"/>
    </xf>
    <xf numFmtId="171" fontId="4" fillId="3" borderId="11" xfId="0" applyNumberFormat="1" applyFont="1" applyFill="1" applyBorder="1" applyAlignment="1" applyProtection="1">
      <alignment horizontal="right" vertical="center"/>
      <protection locked="0"/>
    </xf>
    <xf numFmtId="171" fontId="4" fillId="3" borderId="13" xfId="0" applyNumberFormat="1" applyFont="1" applyFill="1" applyBorder="1" applyAlignment="1" applyProtection="1">
      <alignment horizontal="right" vertical="center"/>
      <protection locked="0"/>
    </xf>
    <xf numFmtId="171" fontId="4" fillId="3" borderId="11" xfId="0" applyNumberFormat="1" applyFont="1" applyFill="1" applyBorder="1" applyAlignment="1" applyProtection="1">
      <alignment horizontal="center" vertical="center"/>
      <protection locked="0"/>
    </xf>
    <xf numFmtId="171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showRowColHeaders="0" tabSelected="1" zoomScaleNormal="100" workbookViewId="0">
      <selection activeCell="C9" sqref="C9:D9"/>
    </sheetView>
  </sheetViews>
  <sheetFormatPr defaultRowHeight="12.75" x14ac:dyDescent="0.2"/>
  <cols>
    <col min="1" max="1" width="1.28515625" style="31" customWidth="1"/>
    <col min="2" max="2" width="21.140625" style="31" customWidth="1"/>
    <col min="3" max="3" width="19.85546875" style="31" customWidth="1"/>
    <col min="4" max="4" width="21.42578125" style="31" customWidth="1"/>
    <col min="5" max="5" width="1" style="49" customWidth="1"/>
    <col min="6" max="6" width="21.28515625" style="31" customWidth="1"/>
    <col min="7" max="7" width="21.42578125" style="31" customWidth="1"/>
    <col min="8" max="8" width="17.5703125" style="31" customWidth="1"/>
    <col min="9" max="16384" width="9.140625" style="31"/>
  </cols>
  <sheetData>
    <row r="1" spans="1:8" s="9" customFormat="1" ht="48.75" customHeight="1" x14ac:dyDescent="0.2">
      <c r="A1" s="54" t="s">
        <v>106</v>
      </c>
      <c r="B1" s="54"/>
      <c r="C1" s="54"/>
      <c r="D1" s="54"/>
      <c r="E1" s="54"/>
      <c r="F1" s="54"/>
      <c r="G1" s="54"/>
      <c r="H1" s="54"/>
    </row>
    <row r="2" spans="1:8" s="9" customFormat="1" ht="12.75" customHeight="1" x14ac:dyDescent="0.2">
      <c r="A2" s="55" t="s">
        <v>146</v>
      </c>
      <c r="B2" s="55"/>
      <c r="C2" s="55"/>
      <c r="D2" s="55"/>
      <c r="E2" s="48"/>
      <c r="F2" s="68" t="s">
        <v>131</v>
      </c>
      <c r="G2" s="68"/>
      <c r="H2" s="68"/>
    </row>
    <row r="3" spans="1:8" s="9" customFormat="1" ht="12.75" customHeight="1" x14ac:dyDescent="0.2">
      <c r="A3" s="55"/>
      <c r="B3" s="55"/>
      <c r="C3" s="55"/>
      <c r="D3" s="55"/>
      <c r="E3" s="48"/>
      <c r="F3" s="68"/>
      <c r="G3" s="68"/>
      <c r="H3" s="68"/>
    </row>
    <row r="4" spans="1:8" s="9" customFormat="1" ht="16.5" customHeight="1" x14ac:dyDescent="0.2">
      <c r="A4" s="67" t="s">
        <v>128</v>
      </c>
      <c r="B4" s="67"/>
      <c r="C4" s="56"/>
      <c r="D4" s="56"/>
      <c r="E4" s="48"/>
      <c r="F4" s="70"/>
      <c r="G4" s="70"/>
      <c r="H4" s="70"/>
    </row>
    <row r="5" spans="1:8" s="9" customFormat="1" ht="16.5" customHeight="1" x14ac:dyDescent="0.2">
      <c r="A5" s="59" t="s">
        <v>139</v>
      </c>
      <c r="B5" s="60"/>
      <c r="C5" s="61"/>
      <c r="D5" s="62"/>
      <c r="E5" s="48"/>
      <c r="F5" s="70"/>
      <c r="G5" s="70"/>
      <c r="H5" s="70"/>
    </row>
    <row r="6" spans="1:8" s="9" customFormat="1" ht="16.5" customHeight="1" x14ac:dyDescent="0.2">
      <c r="A6" s="67" t="s">
        <v>129</v>
      </c>
      <c r="B6" s="67"/>
      <c r="C6" s="56"/>
      <c r="D6" s="56"/>
      <c r="E6" s="48"/>
      <c r="F6" s="70"/>
      <c r="G6" s="70"/>
      <c r="H6" s="70"/>
    </row>
    <row r="7" spans="1:8" s="9" customFormat="1" ht="16.5" customHeight="1" x14ac:dyDescent="0.2">
      <c r="A7" s="67" t="s">
        <v>130</v>
      </c>
      <c r="B7" s="67"/>
      <c r="C7" s="56"/>
      <c r="D7" s="56"/>
      <c r="E7" s="48"/>
      <c r="F7" s="70"/>
      <c r="G7" s="70"/>
      <c r="H7" s="70"/>
    </row>
    <row r="8" spans="1:8" s="9" customFormat="1" ht="16.5" customHeight="1" x14ac:dyDescent="0.2">
      <c r="A8" s="59" t="s">
        <v>148</v>
      </c>
      <c r="B8" s="60"/>
      <c r="C8" s="61"/>
      <c r="D8" s="62"/>
      <c r="E8" s="48"/>
      <c r="F8" s="70"/>
      <c r="G8" s="70"/>
      <c r="H8" s="70"/>
    </row>
    <row r="9" spans="1:8" s="9" customFormat="1" ht="16.5" customHeight="1" x14ac:dyDescent="0.2">
      <c r="A9" s="59" t="s">
        <v>147</v>
      </c>
      <c r="B9" s="60"/>
      <c r="C9" s="135"/>
      <c r="D9" s="135"/>
      <c r="E9" s="48"/>
      <c r="F9" s="70"/>
      <c r="G9" s="70"/>
      <c r="H9" s="70"/>
    </row>
    <row r="10" spans="1:8" s="9" customFormat="1" ht="12.75" customHeight="1" x14ac:dyDescent="0.2">
      <c r="A10" s="48"/>
      <c r="B10" s="48"/>
      <c r="C10" s="48"/>
      <c r="D10" s="48"/>
      <c r="E10" s="48"/>
      <c r="F10" s="70"/>
      <c r="G10" s="70"/>
      <c r="H10" s="70"/>
    </row>
    <row r="11" spans="1:8" x14ac:dyDescent="0.2">
      <c r="A11" s="55" t="s">
        <v>127</v>
      </c>
      <c r="B11" s="55"/>
      <c r="C11" s="55"/>
      <c r="D11" s="55"/>
      <c r="F11" s="70"/>
      <c r="G11" s="70"/>
      <c r="H11" s="70"/>
    </row>
    <row r="12" spans="1:8" x14ac:dyDescent="0.2">
      <c r="A12" s="55"/>
      <c r="B12" s="55"/>
      <c r="C12" s="55"/>
      <c r="D12" s="55"/>
      <c r="F12" s="70"/>
      <c r="G12" s="70"/>
      <c r="H12" s="70"/>
    </row>
    <row r="13" spans="1:8" ht="16.5" customHeight="1" x14ac:dyDescent="0.2">
      <c r="A13" s="59" t="s">
        <v>91</v>
      </c>
      <c r="B13" s="76"/>
      <c r="C13" s="60"/>
      <c r="D13" s="30">
        <f>Kostenrechner!B5</f>
        <v>0</v>
      </c>
      <c r="F13" s="70"/>
      <c r="G13" s="70"/>
      <c r="H13" s="70"/>
    </row>
    <row r="14" spans="1:8" ht="16.5" customHeight="1" x14ac:dyDescent="0.2">
      <c r="A14" s="59" t="s">
        <v>105</v>
      </c>
      <c r="B14" s="76"/>
      <c r="C14" s="60"/>
      <c r="D14" s="32">
        <f>IF(Kostenrechner!B39=Preisliste!D46,Bauvorhaben!D13,0)</f>
        <v>0</v>
      </c>
      <c r="F14" s="70"/>
      <c r="G14" s="70"/>
      <c r="H14" s="70"/>
    </row>
    <row r="15" spans="1:8" ht="16.5" customHeight="1" x14ac:dyDescent="0.2">
      <c r="A15" s="59" t="s">
        <v>121</v>
      </c>
      <c r="B15" s="76"/>
      <c r="C15" s="60"/>
      <c r="D15" s="30">
        <f>Kostenrechner!B18+Kostenrechner!B32+Kostenrechner!G21</f>
        <v>0</v>
      </c>
      <c r="F15" s="70"/>
      <c r="G15" s="70"/>
      <c r="H15" s="70"/>
    </row>
    <row r="16" spans="1:8" ht="16.5" customHeight="1" x14ac:dyDescent="0.2">
      <c r="A16" s="63"/>
      <c r="B16" s="71" t="s">
        <v>117</v>
      </c>
      <c r="C16" s="72"/>
      <c r="D16" s="33">
        <f>IF(Kostenrechner!B36="Ja",D15*VLOOKUP(Kostenrechner!B37,Preisliste!D33:E39,2,0),0)</f>
        <v>0</v>
      </c>
      <c r="F16" s="70"/>
      <c r="G16" s="70"/>
      <c r="H16" s="70"/>
    </row>
    <row r="17" spans="1:8" ht="16.5" customHeight="1" x14ac:dyDescent="0.2">
      <c r="A17" s="64"/>
      <c r="B17" s="71" t="s">
        <v>118</v>
      </c>
      <c r="C17" s="72"/>
      <c r="D17" s="33">
        <f>D15*VLOOKUP(Kostenrechner!B3,Preisliste!D41:E44,2,0)</f>
        <v>0</v>
      </c>
      <c r="F17" s="70"/>
      <c r="G17" s="70"/>
      <c r="H17" s="70"/>
    </row>
    <row r="18" spans="1:8" ht="16.5" customHeight="1" x14ac:dyDescent="0.2">
      <c r="A18" s="69" t="s">
        <v>104</v>
      </c>
      <c r="B18" s="69"/>
      <c r="C18" s="69"/>
      <c r="D18" s="32">
        <f>D15-D16+D17</f>
        <v>0</v>
      </c>
      <c r="F18" s="70"/>
      <c r="G18" s="70"/>
      <c r="H18" s="70"/>
    </row>
    <row r="19" spans="1:8" ht="16.5" customHeight="1" x14ac:dyDescent="0.2">
      <c r="A19" s="65"/>
      <c r="B19" s="57" t="s">
        <v>138</v>
      </c>
      <c r="C19" s="58"/>
      <c r="D19" s="47">
        <f>D18*0.3</f>
        <v>0</v>
      </c>
      <c r="F19" s="70"/>
      <c r="G19" s="70"/>
      <c r="H19" s="70"/>
    </row>
    <row r="20" spans="1:8" ht="16.5" customHeight="1" x14ac:dyDescent="0.2">
      <c r="A20" s="66"/>
      <c r="B20" s="77" t="str">
        <f>"davon Baumaterial    ("&amp;ROUNDUP((D20/200000),0)&amp;" EH Baumaterial)"</f>
        <v>davon Baumaterial    (0 EH Baumaterial)</v>
      </c>
      <c r="C20" s="77"/>
      <c r="D20" s="47">
        <f>D18-D19</f>
        <v>0</v>
      </c>
      <c r="F20" s="70"/>
      <c r="G20" s="70"/>
      <c r="H20" s="70"/>
    </row>
    <row r="21" spans="1:8" ht="15" customHeight="1" x14ac:dyDescent="0.2">
      <c r="A21" s="73" t="str">
        <f>"Kosten für Ausstattung    ("&amp;ROUNDUP((D21/75000),0)&amp;" EH Gebäudeausstattung)"</f>
        <v>Kosten für Ausstattung    (0 EH Gebäudeausstattung)</v>
      </c>
      <c r="B21" s="73"/>
      <c r="C21" s="73"/>
      <c r="D21" s="32">
        <f>D18 * VLOOKUP(Kostenrechner!B38,Preisliste!D51:E55,2,0)</f>
        <v>0</v>
      </c>
      <c r="F21" s="70"/>
      <c r="G21" s="70"/>
      <c r="H21" s="70"/>
    </row>
    <row r="22" spans="1:8" ht="3.75" customHeight="1" x14ac:dyDescent="0.2">
      <c r="A22" s="74"/>
      <c r="B22" s="75"/>
      <c r="C22" s="50"/>
      <c r="D22" s="51"/>
      <c r="F22" s="70"/>
      <c r="G22" s="70"/>
      <c r="H22" s="70"/>
    </row>
    <row r="23" spans="1:8" ht="3.75" customHeight="1" thickBot="1" x14ac:dyDescent="0.25">
      <c r="A23" s="49"/>
      <c r="B23" s="49"/>
      <c r="C23" s="49"/>
      <c r="D23" s="49"/>
      <c r="F23" s="70"/>
      <c r="G23" s="70"/>
      <c r="H23" s="70"/>
    </row>
    <row r="24" spans="1:8" ht="18.75" customHeight="1" thickBot="1" x14ac:dyDescent="0.25">
      <c r="A24" s="49"/>
      <c r="B24" s="49"/>
      <c r="C24" s="49"/>
      <c r="D24" s="34">
        <f>SUM(D14,D18,D21)</f>
        <v>0</v>
      </c>
      <c r="F24" s="70"/>
      <c r="G24" s="70"/>
      <c r="H24" s="70"/>
    </row>
    <row r="25" spans="1:8" x14ac:dyDescent="0.2">
      <c r="A25" s="49"/>
      <c r="B25" s="49"/>
      <c r="C25" s="49"/>
      <c r="D25" s="49"/>
      <c r="F25" s="70"/>
      <c r="G25" s="70"/>
      <c r="H25" s="70"/>
    </row>
    <row r="26" spans="1:8" ht="12.75" customHeight="1" x14ac:dyDescent="0.2">
      <c r="A26" s="55" t="s">
        <v>120</v>
      </c>
      <c r="B26" s="55"/>
      <c r="C26" s="55"/>
      <c r="D26" s="55"/>
      <c r="F26" s="70"/>
      <c r="G26" s="70"/>
      <c r="H26" s="70"/>
    </row>
    <row r="27" spans="1:8" ht="12.75" customHeight="1" x14ac:dyDescent="0.2">
      <c r="A27" s="55"/>
      <c r="B27" s="55"/>
      <c r="C27" s="55"/>
      <c r="D27" s="55"/>
      <c r="F27" s="70"/>
      <c r="G27" s="70"/>
      <c r="H27" s="70"/>
    </row>
    <row r="28" spans="1:8" ht="16.5" customHeight="1" x14ac:dyDescent="0.2">
      <c r="A28" s="69" t="s">
        <v>119</v>
      </c>
      <c r="B28" s="69"/>
      <c r="C28" s="69"/>
      <c r="D28" s="35">
        <f>D15*0.2</f>
        <v>0</v>
      </c>
      <c r="F28" s="70"/>
      <c r="G28" s="70"/>
      <c r="H28" s="70"/>
    </row>
    <row r="29" spans="1:8" s="49" customFormat="1" ht="3.75" customHeight="1" x14ac:dyDescent="0.2">
      <c r="D29" s="51"/>
      <c r="F29" s="70"/>
      <c r="G29" s="70"/>
      <c r="H29" s="70"/>
    </row>
    <row r="30" spans="1:8" s="49" customFormat="1" ht="3.75" customHeight="1" thickBot="1" x14ac:dyDescent="0.25">
      <c r="F30" s="70"/>
      <c r="G30" s="70"/>
      <c r="H30" s="70"/>
    </row>
    <row r="31" spans="1:8" ht="18.75" customHeight="1" thickBot="1" x14ac:dyDescent="0.25">
      <c r="A31" s="49"/>
      <c r="B31" s="49"/>
      <c r="C31" s="49"/>
      <c r="D31" s="34">
        <f>D28</f>
        <v>0</v>
      </c>
      <c r="F31" s="70"/>
      <c r="G31" s="70"/>
      <c r="H31" s="70"/>
    </row>
    <row r="32" spans="1:8" x14ac:dyDescent="0.2">
      <c r="A32" s="49"/>
      <c r="B32" s="49"/>
      <c r="C32" s="49"/>
      <c r="D32" s="49"/>
      <c r="F32" s="70"/>
      <c r="G32" s="70"/>
      <c r="H32" s="70"/>
    </row>
    <row r="33" spans="1:8" x14ac:dyDescent="0.2">
      <c r="A33" s="49"/>
      <c r="B33" s="49"/>
      <c r="C33" s="49"/>
      <c r="D33" s="49"/>
      <c r="F33" s="70"/>
      <c r="G33" s="70"/>
      <c r="H33" s="70"/>
    </row>
    <row r="34" spans="1:8" x14ac:dyDescent="0.2">
      <c r="A34" s="49"/>
      <c r="B34" s="49"/>
      <c r="C34" s="49"/>
      <c r="D34" s="49"/>
      <c r="F34" s="70"/>
      <c r="G34" s="70"/>
      <c r="H34" s="70"/>
    </row>
    <row r="35" spans="1:8" x14ac:dyDescent="0.2">
      <c r="A35" s="49"/>
      <c r="B35" s="49"/>
      <c r="C35" s="49"/>
      <c r="D35" s="49"/>
      <c r="F35" s="70"/>
      <c r="G35" s="70"/>
      <c r="H35" s="70"/>
    </row>
  </sheetData>
  <sheetProtection algorithmName="SHA-512" hashValue="+RL0Fl7d0cEBbfVVpynOcvByGvNPolh18M2ospmdNv5H7UwCYfSaX+6wDoqlp8dRdRNqMzQCfxnMW5ZlwhVp9A==" saltValue="/3rDumpeB08ueOzx9SlRWw==" spinCount="100000" sheet="1" objects="1" scenarios="1" selectLockedCells="1"/>
  <protectedRanges>
    <protectedRange sqref="D14:D20 D28 D6 G14:G20" name="Eingaben_1"/>
  </protectedRanges>
  <mergeCells count="31">
    <mergeCell ref="C9:D9"/>
    <mergeCell ref="A26:D27"/>
    <mergeCell ref="A28:C28"/>
    <mergeCell ref="F4:H35"/>
    <mergeCell ref="B17:C17"/>
    <mergeCell ref="A18:C18"/>
    <mergeCell ref="A21:C21"/>
    <mergeCell ref="C7:D7"/>
    <mergeCell ref="A22:B22"/>
    <mergeCell ref="A13:C13"/>
    <mergeCell ref="A14:C14"/>
    <mergeCell ref="A15:C15"/>
    <mergeCell ref="B16:C16"/>
    <mergeCell ref="B20:C20"/>
    <mergeCell ref="A8:B8"/>
    <mergeCell ref="A1:H1"/>
    <mergeCell ref="A11:D12"/>
    <mergeCell ref="C4:D4"/>
    <mergeCell ref="C6:D6"/>
    <mergeCell ref="B19:C19"/>
    <mergeCell ref="A5:B5"/>
    <mergeCell ref="C5:D5"/>
    <mergeCell ref="A16:A17"/>
    <mergeCell ref="A19:A20"/>
    <mergeCell ref="A2:D3"/>
    <mergeCell ref="A4:B4"/>
    <mergeCell ref="A6:B6"/>
    <mergeCell ref="F2:H3"/>
    <mergeCell ref="A7:B7"/>
    <mergeCell ref="C8:D8"/>
    <mergeCell ref="A9:B9"/>
  </mergeCells>
  <pageMargins left="0.7" right="0.7" top="0.75" bottom="0.75" header="0.3" footer="0.3"/>
  <pageSetup orientation="landscape" r:id="rId1"/>
  <headerFooter>
    <oddFooter xml:space="preserve">&amp;C&amp;"-,Regular"&amp;K01+049v1.0 (26.02.2017) - www.elasura.net       &amp;"Arial,Standard"&amp;K000000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showRowColHeaders="0" zoomScaleNormal="100" workbookViewId="0">
      <selection activeCell="H27" sqref="H27"/>
    </sheetView>
  </sheetViews>
  <sheetFormatPr defaultColWidth="11.42578125" defaultRowHeight="11.25" x14ac:dyDescent="0.2"/>
  <cols>
    <col min="1" max="1" width="17.7109375" style="9" customWidth="1"/>
    <col min="2" max="2" width="13.140625" style="9" customWidth="1"/>
    <col min="3" max="3" width="8.85546875" style="9" customWidth="1"/>
    <col min="4" max="4" width="10.140625" style="11" customWidth="1"/>
    <col min="5" max="5" width="1" style="9" customWidth="1"/>
    <col min="6" max="6" width="21" style="9" customWidth="1"/>
    <col min="7" max="7" width="18.140625" style="9" customWidth="1"/>
    <col min="8" max="8" width="10.42578125" style="9" customWidth="1"/>
    <col min="9" max="9" width="7.7109375" style="9" customWidth="1"/>
    <col min="10" max="16384" width="11.42578125" style="9"/>
  </cols>
  <sheetData>
    <row r="1" spans="1:9" ht="12" customHeight="1" x14ac:dyDescent="0.2">
      <c r="A1" s="96" t="s">
        <v>91</v>
      </c>
      <c r="B1" s="97"/>
      <c r="C1" s="97"/>
      <c r="D1" s="98"/>
      <c r="F1" s="55" t="s">
        <v>81</v>
      </c>
      <c r="G1" s="55"/>
      <c r="H1" s="55"/>
      <c r="I1" s="55"/>
    </row>
    <row r="2" spans="1:9" ht="12" customHeight="1" x14ac:dyDescent="0.2">
      <c r="A2" s="99"/>
      <c r="B2" s="100"/>
      <c r="C2" s="100"/>
      <c r="D2" s="101"/>
      <c r="F2" s="55"/>
      <c r="G2" s="55"/>
      <c r="H2" s="55"/>
      <c r="I2" s="55"/>
    </row>
    <row r="3" spans="1:9" ht="12" customHeight="1" x14ac:dyDescent="0.2">
      <c r="A3" s="10" t="s">
        <v>0</v>
      </c>
      <c r="B3" s="85" t="s">
        <v>26</v>
      </c>
      <c r="C3" s="85"/>
      <c r="D3" s="78">
        <f>B4*(VLOOKUP(B3,Preisliste!A3:B6,2,0))</f>
        <v>0</v>
      </c>
      <c r="F3" s="10" t="s">
        <v>76</v>
      </c>
      <c r="G3" s="85" t="s">
        <v>67</v>
      </c>
      <c r="H3" s="85"/>
      <c r="I3" s="42">
        <f>IF(G3="Keine",0,((C28*VLOOKUP(G3,Preisliste!D16:E20,2,0))-D27))</f>
        <v>0</v>
      </c>
    </row>
    <row r="4" spans="1:9" ht="12" customHeight="1" x14ac:dyDescent="0.2">
      <c r="A4" s="10" t="s">
        <v>1</v>
      </c>
      <c r="B4" s="91">
        <v>0</v>
      </c>
      <c r="C4" s="91"/>
      <c r="D4" s="78"/>
      <c r="F4" s="10" t="s">
        <v>72</v>
      </c>
      <c r="G4" s="85" t="s">
        <v>73</v>
      </c>
      <c r="H4" s="85"/>
      <c r="I4" s="42">
        <f>(C28*VLOOKUP(G4,Preisliste!A43:B45,2,0))</f>
        <v>0</v>
      </c>
    </row>
    <row r="5" spans="1:9" ht="12" customHeight="1" x14ac:dyDescent="0.2">
      <c r="A5" s="53"/>
      <c r="B5" s="113">
        <f>D3</f>
        <v>0</v>
      </c>
      <c r="C5" s="114"/>
      <c r="D5" s="115"/>
      <c r="F5" s="10" t="s">
        <v>80</v>
      </c>
      <c r="G5" s="85" t="s">
        <v>11</v>
      </c>
      <c r="H5" s="85"/>
      <c r="I5" s="42">
        <f>IF(G5="Ja",C28*Preisliste!B46,0)</f>
        <v>0</v>
      </c>
    </row>
    <row r="6" spans="1:9" ht="12" customHeight="1" x14ac:dyDescent="0.2">
      <c r="F6" s="94" t="s">
        <v>61</v>
      </c>
      <c r="G6" s="12" t="s">
        <v>62</v>
      </c>
      <c r="H6" s="12" t="s">
        <v>60</v>
      </c>
      <c r="I6" s="80">
        <f>G7*(H7*H7*800)</f>
        <v>0</v>
      </c>
    </row>
    <row r="7" spans="1:9" ht="12" customHeight="1" x14ac:dyDescent="0.2">
      <c r="A7" s="102" t="s">
        <v>29</v>
      </c>
      <c r="B7" s="103"/>
      <c r="C7" s="103"/>
      <c r="D7" s="104"/>
      <c r="F7" s="95"/>
      <c r="G7" s="28">
        <v>0</v>
      </c>
      <c r="H7" s="28">
        <v>0</v>
      </c>
      <c r="I7" s="81"/>
    </row>
    <row r="8" spans="1:9" ht="12" customHeight="1" x14ac:dyDescent="0.2">
      <c r="A8" s="105"/>
      <c r="B8" s="106"/>
      <c r="C8" s="106"/>
      <c r="D8" s="107"/>
      <c r="F8" s="10" t="s">
        <v>59</v>
      </c>
      <c r="G8" s="85" t="s">
        <v>11</v>
      </c>
      <c r="H8" s="85"/>
      <c r="I8" s="42">
        <f>IF(G8="Ja",G7*Preisliste!E15,0)</f>
        <v>0</v>
      </c>
    </row>
    <row r="9" spans="1:9" ht="12" customHeight="1" x14ac:dyDescent="0.2">
      <c r="A9" s="10" t="s">
        <v>5</v>
      </c>
      <c r="B9" s="85" t="s">
        <v>31</v>
      </c>
      <c r="C9" s="85"/>
      <c r="D9" s="78">
        <f>(B10*VLOOKUP($B$9,Preisliste!A10:B12,2,0))</f>
        <v>0</v>
      </c>
      <c r="F9" s="110" t="s">
        <v>75</v>
      </c>
      <c r="G9" s="12" t="s">
        <v>78</v>
      </c>
      <c r="H9" s="12" t="s">
        <v>63</v>
      </c>
      <c r="I9" s="80">
        <f>(B26 * ((VLOOKUP(G10,Preisliste!A35:B38,2,0)*VLOOKUP(H10,Preisliste!D23:E26,2,0)) + IF(C26="Breit",Preisliste!E28,0))) - (IF(G10=Preisliste!A35,0,D25))</f>
        <v>0</v>
      </c>
    </row>
    <row r="10" spans="1:9" ht="12" customHeight="1" x14ac:dyDescent="0.2">
      <c r="A10" s="10" t="s">
        <v>4</v>
      </c>
      <c r="B10" s="91">
        <v>0</v>
      </c>
      <c r="C10" s="91"/>
      <c r="D10" s="78"/>
      <c r="F10" s="111"/>
      <c r="G10" s="38" t="s">
        <v>74</v>
      </c>
      <c r="H10" s="8" t="s">
        <v>79</v>
      </c>
      <c r="I10" s="81"/>
    </row>
    <row r="11" spans="1:9" ht="12" customHeight="1" x14ac:dyDescent="0.2">
      <c r="A11" s="79" t="s">
        <v>34</v>
      </c>
      <c r="B11" s="12" t="s">
        <v>21</v>
      </c>
      <c r="C11" s="13" t="s">
        <v>4</v>
      </c>
      <c r="D11" s="78">
        <f>((C12*VLOOKUP($B$9,Preisliste!A10:B12,2,0))*1.2)</f>
        <v>0</v>
      </c>
      <c r="F11" s="41" t="s">
        <v>17</v>
      </c>
      <c r="G11" s="119" t="s">
        <v>11</v>
      </c>
      <c r="H11" s="120"/>
      <c r="I11" s="40">
        <f>IF(G11="Ja",Preisliste!B30,0)</f>
        <v>0</v>
      </c>
    </row>
    <row r="12" spans="1:9" ht="12" customHeight="1" x14ac:dyDescent="0.2">
      <c r="A12" s="79"/>
      <c r="B12" s="36">
        <v>0</v>
      </c>
      <c r="C12" s="37">
        <v>0</v>
      </c>
      <c r="D12" s="78"/>
      <c r="F12" s="10" t="s">
        <v>19</v>
      </c>
      <c r="G12" s="85" t="s">
        <v>11</v>
      </c>
      <c r="H12" s="85"/>
      <c r="I12" s="42">
        <f>IF(G12="Ja",(IF(C26="Breit",Preisliste!B34,Preisliste!B33)),0)</f>
        <v>0</v>
      </c>
    </row>
    <row r="13" spans="1:9" ht="12" customHeight="1" x14ac:dyDescent="0.2">
      <c r="A13" s="10" t="s">
        <v>30</v>
      </c>
      <c r="B13" s="91">
        <v>0</v>
      </c>
      <c r="C13" s="91"/>
      <c r="D13" s="42">
        <f>(B13*Preisliste!E3)</f>
        <v>0</v>
      </c>
      <c r="F13" s="10" t="s">
        <v>18</v>
      </c>
      <c r="G13" s="85" t="s">
        <v>11</v>
      </c>
      <c r="H13" s="85"/>
      <c r="I13" s="42">
        <f>IF(G13="Ja",(IF(C26="Breit",Preisliste!B32,Preisliste!B31)),0)</f>
        <v>0</v>
      </c>
    </row>
    <row r="14" spans="1:9" ht="12" customHeight="1" x14ac:dyDescent="0.2">
      <c r="A14" s="10" t="s">
        <v>7</v>
      </c>
      <c r="B14" s="85" t="s">
        <v>38</v>
      </c>
      <c r="C14" s="85"/>
      <c r="D14" s="78">
        <f xml:space="preserve"> (B15*VLOOKUP(B14,Preisliste!D7:E9,2,0))</f>
        <v>0</v>
      </c>
      <c r="F14" s="110" t="s">
        <v>82</v>
      </c>
      <c r="G14" s="12" t="s">
        <v>78</v>
      </c>
      <c r="H14" s="12" t="s">
        <v>21</v>
      </c>
      <c r="I14" s="80">
        <f>H15*VLOOKUP(G15,Preisliste!A39:B42,2,0)</f>
        <v>0</v>
      </c>
    </row>
    <row r="15" spans="1:9" ht="12" customHeight="1" x14ac:dyDescent="0.2">
      <c r="A15" s="10" t="s">
        <v>6</v>
      </c>
      <c r="B15" s="86">
        <v>0</v>
      </c>
      <c r="C15" s="86"/>
      <c r="D15" s="78"/>
      <c r="F15" s="111"/>
      <c r="G15" s="38" t="s">
        <v>83</v>
      </c>
      <c r="H15" s="36">
        <v>0</v>
      </c>
      <c r="I15" s="81"/>
    </row>
    <row r="16" spans="1:9" ht="12" customHeight="1" x14ac:dyDescent="0.2">
      <c r="A16" s="10" t="s">
        <v>43</v>
      </c>
      <c r="B16" s="108" t="s">
        <v>44</v>
      </c>
      <c r="C16" s="109"/>
      <c r="D16" s="42">
        <f>(B10*VLOOKUP(B16,Preisliste!A24:B25,2,0))</f>
        <v>0</v>
      </c>
      <c r="F16" s="79" t="s">
        <v>88</v>
      </c>
      <c r="G16" s="85" t="s">
        <v>11</v>
      </c>
      <c r="H16" s="12" t="s">
        <v>63</v>
      </c>
      <c r="I16" s="78">
        <f>IF(G16="Ja",(B4*H17*Preisliste!B48),0)</f>
        <v>0</v>
      </c>
    </row>
    <row r="17" spans="1:9" ht="12" customHeight="1" x14ac:dyDescent="0.2">
      <c r="A17" s="10" t="s">
        <v>58</v>
      </c>
      <c r="B17" s="92" t="s">
        <v>11</v>
      </c>
      <c r="C17" s="92"/>
      <c r="D17" s="42">
        <f>IF(B17="JA",SUM(D9:D15),0)</f>
        <v>0</v>
      </c>
      <c r="F17" s="79"/>
      <c r="G17" s="85"/>
      <c r="H17" s="28">
        <v>0</v>
      </c>
      <c r="I17" s="78"/>
    </row>
    <row r="18" spans="1:9" ht="12" customHeight="1" x14ac:dyDescent="0.2">
      <c r="A18" s="14"/>
      <c r="B18" s="93">
        <f>SUM(D9:D17)</f>
        <v>0</v>
      </c>
      <c r="C18" s="93"/>
      <c r="D18" s="93"/>
      <c r="F18" s="10" t="s">
        <v>89</v>
      </c>
      <c r="G18" s="118">
        <v>0</v>
      </c>
      <c r="H18" s="118"/>
      <c r="I18" s="15">
        <f>G18*Preisliste!B47</f>
        <v>0</v>
      </c>
    </row>
    <row r="19" spans="1:9" ht="12" customHeight="1" x14ac:dyDescent="0.2">
      <c r="C19" s="16"/>
      <c r="F19" s="10" t="s">
        <v>97</v>
      </c>
      <c r="G19" s="121">
        <v>0</v>
      </c>
      <c r="H19" s="122"/>
      <c r="I19" s="15">
        <f>G19*Preisliste!E30</f>
        <v>0</v>
      </c>
    </row>
    <row r="20" spans="1:9" ht="12" customHeight="1" x14ac:dyDescent="0.2">
      <c r="A20" s="96" t="s">
        <v>12</v>
      </c>
      <c r="B20" s="97"/>
      <c r="C20" s="97"/>
      <c r="D20" s="98"/>
      <c r="F20" s="10" t="s">
        <v>98</v>
      </c>
      <c r="G20" s="121">
        <v>0</v>
      </c>
      <c r="H20" s="122"/>
      <c r="I20" s="15">
        <f>G20*Preisliste!E31</f>
        <v>0</v>
      </c>
    </row>
    <row r="21" spans="1:9" ht="12" customHeight="1" x14ac:dyDescent="0.2">
      <c r="A21" s="99"/>
      <c r="B21" s="100"/>
      <c r="C21" s="100"/>
      <c r="D21" s="101"/>
      <c r="G21" s="116">
        <f>SUM(I3:I20)</f>
        <v>0</v>
      </c>
      <c r="H21" s="117"/>
      <c r="I21" s="117"/>
    </row>
    <row r="22" spans="1:9" ht="12" customHeight="1" x14ac:dyDescent="0.2">
      <c r="A22" s="43" t="s">
        <v>13</v>
      </c>
      <c r="B22" s="86">
        <v>0</v>
      </c>
      <c r="C22" s="86"/>
      <c r="D22" s="42">
        <f>B22*Preisliste!B21</f>
        <v>0</v>
      </c>
    </row>
    <row r="23" spans="1:9" ht="12" customHeight="1" x14ac:dyDescent="0.2">
      <c r="A23" s="43" t="s">
        <v>15</v>
      </c>
      <c r="B23" s="91">
        <v>0</v>
      </c>
      <c r="C23" s="91"/>
      <c r="D23" s="42">
        <f>B23*Preisliste!B23</f>
        <v>0</v>
      </c>
      <c r="F23" s="112" t="s">
        <v>92</v>
      </c>
      <c r="G23" s="112"/>
      <c r="H23" s="112"/>
      <c r="I23" s="112"/>
    </row>
    <row r="24" spans="1:9" ht="12" customHeight="1" x14ac:dyDescent="0.2">
      <c r="A24" s="43" t="s">
        <v>39</v>
      </c>
      <c r="B24" s="91">
        <v>0</v>
      </c>
      <c r="C24" s="91"/>
      <c r="D24" s="42">
        <f>B24*Preisliste!B22</f>
        <v>0</v>
      </c>
      <c r="F24" s="100"/>
      <c r="G24" s="100"/>
      <c r="H24" s="100"/>
      <c r="I24" s="100"/>
    </row>
    <row r="25" spans="1:9" ht="12" customHeight="1" x14ac:dyDescent="0.2">
      <c r="A25" s="94" t="s">
        <v>16</v>
      </c>
      <c r="B25" s="13" t="s">
        <v>21</v>
      </c>
      <c r="C25" s="13" t="s">
        <v>78</v>
      </c>
      <c r="D25" s="80">
        <f>B26*Preisliste!B19 + (B26*VLOOKUP(C26,Preisliste!D27:E28,2,0))</f>
        <v>0</v>
      </c>
      <c r="F25" s="87" t="s">
        <v>90</v>
      </c>
      <c r="G25" s="88"/>
      <c r="H25" s="27">
        <v>0</v>
      </c>
      <c r="I25" s="29">
        <f>H25*40</f>
        <v>0</v>
      </c>
    </row>
    <row r="26" spans="1:9" ht="12" customHeight="1" x14ac:dyDescent="0.2">
      <c r="A26" s="95"/>
      <c r="B26" s="36">
        <v>0</v>
      </c>
      <c r="C26" s="44" t="s">
        <v>3</v>
      </c>
      <c r="D26" s="81"/>
      <c r="F26" s="87" t="s">
        <v>108</v>
      </c>
      <c r="G26" s="88"/>
      <c r="H26" s="27">
        <v>0</v>
      </c>
      <c r="I26" s="29">
        <f>H26*14</f>
        <v>0</v>
      </c>
    </row>
    <row r="27" spans="1:9" ht="12" customHeight="1" x14ac:dyDescent="0.2">
      <c r="A27" s="94" t="s">
        <v>23</v>
      </c>
      <c r="B27" s="17" t="s">
        <v>77</v>
      </c>
      <c r="C27" s="17" t="s">
        <v>62</v>
      </c>
      <c r="D27" s="80">
        <f>(C28*VLOOKUP(B28,Preisliste!A15:B18,2,0))</f>
        <v>0</v>
      </c>
      <c r="F27" s="87" t="str">
        <f>"Einfache Bedienstete  (mind. "&amp;(H25+H26)&amp;"P)(6m² pro Kopf)"</f>
        <v>Einfache Bedienstete  (mind. 0P)(6m² pro Kopf)</v>
      </c>
      <c r="G27" s="88"/>
      <c r="H27" s="27">
        <v>0</v>
      </c>
      <c r="I27" s="29">
        <f>H27*6</f>
        <v>0</v>
      </c>
    </row>
    <row r="28" spans="1:9" ht="12" customHeight="1" x14ac:dyDescent="0.2">
      <c r="A28" s="95"/>
      <c r="B28" s="44" t="s">
        <v>40</v>
      </c>
      <c r="C28" s="8">
        <v>0</v>
      </c>
      <c r="D28" s="81"/>
      <c r="F28" s="87" t="str">
        <f>"Soldaten aller Waffengattungen (mind."&amp;(H25+H26)&amp;") (8m² pro Kopf)"</f>
        <v>Soldaten aller Waffengattungen (mind.0) (8m² pro Kopf)</v>
      </c>
      <c r="G28" s="88"/>
      <c r="H28" s="27">
        <v>0</v>
      </c>
      <c r="I28" s="29">
        <f>H28*8</f>
        <v>0</v>
      </c>
    </row>
    <row r="29" spans="1:9" ht="12" customHeight="1" x14ac:dyDescent="0.2">
      <c r="A29" s="39" t="s">
        <v>42</v>
      </c>
      <c r="B29" s="123">
        <v>0</v>
      </c>
      <c r="C29" s="124"/>
      <c r="D29" s="40">
        <f>B29*Preisliste!B20</f>
        <v>0</v>
      </c>
      <c r="F29" s="89"/>
      <c r="G29" s="90"/>
      <c r="H29" s="18">
        <f>SUM(H25:H28)</f>
        <v>0</v>
      </c>
      <c r="I29" s="19">
        <f>SUM(I25:I28)</f>
        <v>0</v>
      </c>
    </row>
    <row r="30" spans="1:9" ht="12" customHeight="1" x14ac:dyDescent="0.2">
      <c r="A30" s="79" t="s">
        <v>132</v>
      </c>
      <c r="B30" s="46" t="s">
        <v>133</v>
      </c>
      <c r="C30" s="46" t="s">
        <v>62</v>
      </c>
      <c r="D30" s="80">
        <f>C31*VLOOKUP(B31,Preisliste!A50:B53,2,0)</f>
        <v>0</v>
      </c>
    </row>
    <row r="31" spans="1:9" ht="12" customHeight="1" x14ac:dyDescent="0.2">
      <c r="A31" s="79"/>
      <c r="B31" s="36" t="s">
        <v>134</v>
      </c>
      <c r="C31" s="45">
        <v>0</v>
      </c>
      <c r="D31" s="81"/>
      <c r="F31" s="112" t="s">
        <v>93</v>
      </c>
      <c r="G31" s="112"/>
      <c r="H31" s="112"/>
      <c r="I31" s="112"/>
    </row>
    <row r="32" spans="1:9" ht="12.75" customHeight="1" x14ac:dyDescent="0.2">
      <c r="A32" s="14"/>
      <c r="B32" s="116">
        <f>SUM(D22:D31)</f>
        <v>0</v>
      </c>
      <c r="C32" s="116"/>
      <c r="D32" s="116"/>
      <c r="F32" s="100"/>
      <c r="G32" s="100"/>
      <c r="H32" s="100"/>
      <c r="I32" s="100"/>
    </row>
    <row r="33" spans="1:9" ht="12.75" customHeight="1" x14ac:dyDescent="0.2">
      <c r="C33" s="20"/>
      <c r="F33" s="87" t="s">
        <v>94</v>
      </c>
      <c r="G33" s="88"/>
      <c r="H33" s="26">
        <v>0</v>
      </c>
      <c r="I33" s="29">
        <f>H33*14</f>
        <v>0</v>
      </c>
    </row>
    <row r="34" spans="1:9" ht="12.75" customHeight="1" x14ac:dyDescent="0.2">
      <c r="A34" s="96" t="s">
        <v>126</v>
      </c>
      <c r="B34" s="97"/>
      <c r="C34" s="97"/>
      <c r="D34" s="98"/>
      <c r="F34" s="89"/>
      <c r="G34" s="90"/>
      <c r="H34" s="23">
        <f>SUM(H33:H33)</f>
        <v>0</v>
      </c>
      <c r="I34" s="19">
        <f>SUM(I33:I33)</f>
        <v>0</v>
      </c>
    </row>
    <row r="35" spans="1:9" ht="12.75" customHeight="1" x14ac:dyDescent="0.2">
      <c r="A35" s="99"/>
      <c r="B35" s="100"/>
      <c r="C35" s="100"/>
      <c r="D35" s="101"/>
      <c r="F35" s="52"/>
    </row>
    <row r="36" spans="1:9" x14ac:dyDescent="0.2">
      <c r="A36" s="43" t="s">
        <v>107</v>
      </c>
      <c r="B36" s="86" t="s">
        <v>11</v>
      </c>
      <c r="C36" s="86"/>
      <c r="D36" s="86"/>
    </row>
    <row r="37" spans="1:9" x14ac:dyDescent="0.2">
      <c r="A37" s="43" t="s">
        <v>114</v>
      </c>
      <c r="B37" s="91" t="s">
        <v>113</v>
      </c>
      <c r="C37" s="91"/>
      <c r="D37" s="91"/>
    </row>
    <row r="38" spans="1:9" x14ac:dyDescent="0.2">
      <c r="A38" s="43" t="s">
        <v>140</v>
      </c>
      <c r="B38" s="82" t="s">
        <v>142</v>
      </c>
      <c r="C38" s="83"/>
      <c r="D38" s="84"/>
    </row>
    <row r="39" spans="1:9" x14ac:dyDescent="0.2">
      <c r="A39" s="10" t="s">
        <v>2</v>
      </c>
      <c r="B39" s="85" t="s">
        <v>123</v>
      </c>
      <c r="C39" s="85"/>
      <c r="D39" s="85"/>
    </row>
    <row r="40" spans="1:9" x14ac:dyDescent="0.2">
      <c r="C40" s="21"/>
      <c r="F40" s="9" t="s">
        <v>99</v>
      </c>
    </row>
    <row r="41" spans="1:9" x14ac:dyDescent="0.2">
      <c r="A41" s="14"/>
      <c r="B41" s="14"/>
      <c r="C41" s="22"/>
    </row>
    <row r="42" spans="1:9" x14ac:dyDescent="0.2">
      <c r="B42" s="14"/>
      <c r="C42" s="14"/>
    </row>
    <row r="43" spans="1:9" x14ac:dyDescent="0.2">
      <c r="C43" s="16"/>
    </row>
    <row r="44" spans="1:9" x14ac:dyDescent="0.2">
      <c r="C44" s="24"/>
      <c r="F44" s="25"/>
      <c r="G44" s="25"/>
    </row>
    <row r="45" spans="1:9" x14ac:dyDescent="0.2">
      <c r="C45" s="20"/>
    </row>
    <row r="46" spans="1:9" x14ac:dyDescent="0.2">
      <c r="C46" s="16"/>
    </row>
    <row r="47" spans="1:9" x14ac:dyDescent="0.2">
      <c r="C47" s="21"/>
    </row>
    <row r="48" spans="1:9" x14ac:dyDescent="0.2">
      <c r="A48" s="14"/>
      <c r="B48" s="14"/>
      <c r="C48" s="22"/>
    </row>
    <row r="73" spans="6:6" x14ac:dyDescent="0.2">
      <c r="F73" s="25"/>
    </row>
    <row r="85" spans="1:9" x14ac:dyDescent="0.2">
      <c r="H85" s="25"/>
      <c r="I85" s="25"/>
    </row>
    <row r="87" spans="1:9" x14ac:dyDescent="0.2">
      <c r="E87" s="25"/>
    </row>
    <row r="93" spans="1:9" x14ac:dyDescent="0.2">
      <c r="A93" s="25"/>
      <c r="B93" s="25"/>
      <c r="C93" s="25"/>
    </row>
    <row r="116" spans="3:5" x14ac:dyDescent="0.2">
      <c r="E116" s="25"/>
    </row>
    <row r="122" spans="3:5" x14ac:dyDescent="0.2">
      <c r="C122" s="25"/>
    </row>
    <row r="125" spans="3:5" ht="20.25" customHeight="1" x14ac:dyDescent="0.2"/>
  </sheetData>
  <sheetProtection algorithmName="SHA-512" hashValue="GbpJy5OBta3XJpYcOoBritw7LzsxZJARVe2QIxyf/ee3t8AyMGu7t+951lXtGkgKpm2ZYMQN1FRJtGDNbUWx9w==" saltValue="zTUE/TWL9kpCQ2d4GWLBOw==" spinCount="100000" sheet="1" objects="1" scenarios="1" selectLockedCells="1"/>
  <protectedRanges>
    <protectedRange sqref="B3:C4 B9:C10 B12:C17 B22:C24 B26:C26 B28:C29 G3:H5 G7:H8 G10:H13 G15:H15 G16 H17 G18:H20 H25:I28 H33:I33 B36:C37 B31:C31 B30:C30 B38:C38" name="Eingaben"/>
  </protectedRanges>
  <mergeCells count="65">
    <mergeCell ref="B39:D39"/>
    <mergeCell ref="G19:H19"/>
    <mergeCell ref="G20:H20"/>
    <mergeCell ref="B29:C29"/>
    <mergeCell ref="B32:D32"/>
    <mergeCell ref="F31:I32"/>
    <mergeCell ref="F33:G33"/>
    <mergeCell ref="F34:G34"/>
    <mergeCell ref="A25:A26"/>
    <mergeCell ref="I14:I15"/>
    <mergeCell ref="F14:F15"/>
    <mergeCell ref="I16:I17"/>
    <mergeCell ref="D25:D26"/>
    <mergeCell ref="G21:I21"/>
    <mergeCell ref="G18:H18"/>
    <mergeCell ref="F9:F10"/>
    <mergeCell ref="I9:I10"/>
    <mergeCell ref="D27:D28"/>
    <mergeCell ref="F23:I24"/>
    <mergeCell ref="F25:G25"/>
    <mergeCell ref="F26:G26"/>
    <mergeCell ref="F27:G27"/>
    <mergeCell ref="G16:G17"/>
    <mergeCell ref="D9:D10"/>
    <mergeCell ref="D11:D12"/>
    <mergeCell ref="G12:H12"/>
    <mergeCell ref="G13:H13"/>
    <mergeCell ref="G11:H11"/>
    <mergeCell ref="G8:H8"/>
    <mergeCell ref="G5:H5"/>
    <mergeCell ref="G4:H4"/>
    <mergeCell ref="F6:F7"/>
    <mergeCell ref="I6:I7"/>
    <mergeCell ref="G3:H3"/>
    <mergeCell ref="A27:A28"/>
    <mergeCell ref="F16:F17"/>
    <mergeCell ref="A1:D2"/>
    <mergeCell ref="A7:D8"/>
    <mergeCell ref="A20:D21"/>
    <mergeCell ref="F1:I2"/>
    <mergeCell ref="B16:C16"/>
    <mergeCell ref="B22:C22"/>
    <mergeCell ref="B23:C23"/>
    <mergeCell ref="B24:C24"/>
    <mergeCell ref="A11:A12"/>
    <mergeCell ref="B3:C3"/>
    <mergeCell ref="B4:C4"/>
    <mergeCell ref="B9:C9"/>
    <mergeCell ref="B10:C10"/>
    <mergeCell ref="F28:G28"/>
    <mergeCell ref="F29:G29"/>
    <mergeCell ref="B13:C13"/>
    <mergeCell ref="B17:C17"/>
    <mergeCell ref="B18:D18"/>
    <mergeCell ref="D14:D15"/>
    <mergeCell ref="D3:D4"/>
    <mergeCell ref="A30:A31"/>
    <mergeCell ref="D30:D31"/>
    <mergeCell ref="B38:D38"/>
    <mergeCell ref="B14:C14"/>
    <mergeCell ref="B15:C15"/>
    <mergeCell ref="A34:D35"/>
    <mergeCell ref="B5:D5"/>
    <mergeCell ref="B36:D36"/>
    <mergeCell ref="B37:D37"/>
  </mergeCells>
  <dataValidations count="2">
    <dataValidation type="list" allowBlank="1" showInputMessage="1" showErrorMessage="1" sqref="C46">
      <formula1>#REF!</formula1>
    </dataValidation>
    <dataValidation type="list" allowBlank="1" showInputMessage="1" showErrorMessage="1" sqref="C43">
      <formula1>#REF!</formula1>
    </dataValidation>
  </dataValidations>
  <pageMargins left="0.25" right="0.25" top="0.75" bottom="0.75" header="0.3" footer="0.3"/>
  <pageSetup paperSize="9" orientation="landscape" r:id="rId1"/>
  <headerFooter>
    <oddFooter xml:space="preserve">&amp;C&amp;"-,Regular"&amp;K01+048v1.0 (26.02.2017) - www.elasura.net &amp;"Arial,Standard"&amp;K000000                                                       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Preisliste!$A$3:$A$6</xm:f>
          </x14:formula1>
          <xm:sqref>B3</xm:sqref>
        </x14:dataValidation>
        <x14:dataValidation type="list" allowBlank="1" showInputMessage="1" showErrorMessage="1">
          <x14:formula1>
            <xm:f>Preisliste!$A$10:$A$12</xm:f>
          </x14:formula1>
          <xm:sqref>B9</xm:sqref>
        </x14:dataValidation>
        <x14:dataValidation type="list" allowBlank="1" showInputMessage="1" showErrorMessage="1">
          <x14:formula1>
            <xm:f>Preisliste!$D$7:$D$9</xm:f>
          </x14:formula1>
          <xm:sqref>B14:C14</xm:sqref>
        </x14:dataValidation>
        <x14:dataValidation type="list" allowBlank="1" showInputMessage="1" showErrorMessage="1">
          <x14:formula1>
            <xm:f>Preisliste!$D$11:$D$12</xm:f>
          </x14:formula1>
          <xm:sqref>B17:C17 G5:H5 G8:H8 G16:G17 G11:H13 B36:D36</xm:sqref>
        </x14:dataValidation>
        <x14:dataValidation type="list" allowBlank="1" showInputMessage="1" showErrorMessage="1">
          <x14:formula1>
            <xm:f>Preisliste!$A$24:$A$25</xm:f>
          </x14:formula1>
          <xm:sqref>B16:C16</xm:sqref>
        </x14:dataValidation>
        <x14:dataValidation type="list" allowBlank="1" showInputMessage="1" showErrorMessage="1">
          <x14:formula1>
            <xm:f>Preisliste!$A$15:$A$18</xm:f>
          </x14:formula1>
          <xm:sqref>B28</xm:sqref>
        </x14:dataValidation>
        <x14:dataValidation type="list" allowBlank="1" showInputMessage="1" showErrorMessage="1">
          <x14:formula1>
            <xm:f>Preisliste!$D$16:$D$21</xm:f>
          </x14:formula1>
          <xm:sqref>G3:H3</xm:sqref>
        </x14:dataValidation>
        <x14:dataValidation type="list" allowBlank="1" showInputMessage="1" showErrorMessage="1">
          <x14:formula1>
            <xm:f>Preisliste!$A$43:$A$45</xm:f>
          </x14:formula1>
          <xm:sqref>G4:H4</xm:sqref>
        </x14:dataValidation>
        <x14:dataValidation type="list" allowBlank="1" showInputMessage="1" showErrorMessage="1">
          <x14:formula1>
            <xm:f>Preisliste!$A$35:$A$38</xm:f>
          </x14:formula1>
          <xm:sqref>G10</xm:sqref>
        </x14:dataValidation>
        <x14:dataValidation type="list" allowBlank="1" showInputMessage="1" showErrorMessage="1">
          <x14:formula1>
            <xm:f>Preisliste!$A$39:$A$42</xm:f>
          </x14:formula1>
          <xm:sqref>G15</xm:sqref>
        </x14:dataValidation>
        <x14:dataValidation type="list" allowBlank="1" showInputMessage="1" showErrorMessage="1">
          <x14:formula1>
            <xm:f>Preisliste!$D$23:$D$26</xm:f>
          </x14:formula1>
          <xm:sqref>H10</xm:sqref>
        </x14:dataValidation>
        <x14:dataValidation type="list" allowBlank="1" showInputMessage="1" showErrorMessage="1">
          <x14:formula1>
            <xm:f>Preisliste!$D$27:$D$28</xm:f>
          </x14:formula1>
          <xm:sqref>C26</xm:sqref>
        </x14:dataValidation>
        <x14:dataValidation type="list" allowBlank="1" showInputMessage="1" showErrorMessage="1">
          <x14:formula1>
            <xm:f>Preisliste!$D$33:$D$39</xm:f>
          </x14:formula1>
          <xm:sqref>C37:D37 B37</xm:sqref>
        </x14:dataValidation>
        <x14:dataValidation type="list" allowBlank="1" showInputMessage="1" showErrorMessage="1">
          <x14:formula1>
            <xm:f>Preisliste!$D$46:$D$49</xm:f>
          </x14:formula1>
          <xm:sqref>B39:D39</xm:sqref>
        </x14:dataValidation>
        <x14:dataValidation type="list" allowBlank="1" showInputMessage="1" showErrorMessage="1">
          <x14:formula1>
            <xm:f>Preisliste!$A$50:$A$53</xm:f>
          </x14:formula1>
          <xm:sqref>B31</xm:sqref>
        </x14:dataValidation>
        <x14:dataValidation type="list" allowBlank="1" showInputMessage="1" showErrorMessage="1">
          <x14:formula1>
            <xm:f>Preisliste!$D$51:$D$55</xm:f>
          </x14:formula1>
          <xm:sqref>B38:D38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25" workbookViewId="0">
      <selection activeCell="E52" sqref="E52"/>
    </sheetView>
  </sheetViews>
  <sheetFormatPr defaultRowHeight="12.75" x14ac:dyDescent="0.2"/>
  <cols>
    <col min="1" max="1" width="22.85546875" customWidth="1"/>
    <col min="3" max="3" width="2.140625" customWidth="1"/>
    <col min="4" max="4" width="28.42578125" customWidth="1"/>
  </cols>
  <sheetData>
    <row r="1" spans="1:5" x14ac:dyDescent="0.2">
      <c r="A1" s="129" t="s">
        <v>27</v>
      </c>
      <c r="B1" s="129"/>
      <c r="C1" s="1"/>
      <c r="D1" s="131" t="s">
        <v>37</v>
      </c>
      <c r="E1" s="132"/>
    </row>
    <row r="2" spans="1:5" x14ac:dyDescent="0.2">
      <c r="A2" s="129" t="s">
        <v>28</v>
      </c>
      <c r="B2" s="129"/>
      <c r="C2" s="1"/>
      <c r="D2" s="133"/>
      <c r="E2" s="134"/>
    </row>
    <row r="3" spans="1:5" x14ac:dyDescent="0.2">
      <c r="A3" s="2" t="s">
        <v>26</v>
      </c>
      <c r="B3" s="2">
        <v>160</v>
      </c>
      <c r="D3" s="2" t="s">
        <v>3</v>
      </c>
      <c r="E3" s="2">
        <v>3500</v>
      </c>
    </row>
    <row r="4" spans="1:5" x14ac:dyDescent="0.2">
      <c r="A4" s="2" t="s">
        <v>24</v>
      </c>
      <c r="B4" s="2">
        <v>800</v>
      </c>
      <c r="D4" s="4"/>
      <c r="E4" s="4"/>
    </row>
    <row r="5" spans="1:5" x14ac:dyDescent="0.2">
      <c r="A5" s="2" t="s">
        <v>25</v>
      </c>
      <c r="B5" s="2">
        <v>1500</v>
      </c>
      <c r="D5" s="125" t="s">
        <v>35</v>
      </c>
      <c r="E5" s="126"/>
    </row>
    <row r="6" spans="1:5" x14ac:dyDescent="0.2">
      <c r="A6" s="2" t="s">
        <v>22</v>
      </c>
      <c r="B6" s="2">
        <v>6000</v>
      </c>
      <c r="D6" s="126"/>
      <c r="E6" s="126"/>
    </row>
    <row r="7" spans="1:5" x14ac:dyDescent="0.2">
      <c r="D7" s="3" t="s">
        <v>38</v>
      </c>
      <c r="E7">
        <v>3500</v>
      </c>
    </row>
    <row r="8" spans="1:5" x14ac:dyDescent="0.2">
      <c r="A8" s="130" t="s">
        <v>36</v>
      </c>
      <c r="B8" s="130"/>
      <c r="D8" s="3" t="s">
        <v>8</v>
      </c>
      <c r="E8">
        <v>5600</v>
      </c>
    </row>
    <row r="9" spans="1:5" x14ac:dyDescent="0.2">
      <c r="A9" s="130"/>
      <c r="B9" s="130"/>
      <c r="D9" t="s">
        <v>9</v>
      </c>
      <c r="E9">
        <v>21000</v>
      </c>
    </row>
    <row r="10" spans="1:5" x14ac:dyDescent="0.2">
      <c r="A10" s="5" t="s">
        <v>31</v>
      </c>
      <c r="B10" s="2">
        <v>1400</v>
      </c>
    </row>
    <row r="11" spans="1:5" x14ac:dyDescent="0.2">
      <c r="A11" s="5" t="s">
        <v>32</v>
      </c>
      <c r="B11" s="2">
        <v>5600</v>
      </c>
      <c r="D11" s="3" t="s">
        <v>10</v>
      </c>
    </row>
    <row r="12" spans="1:5" x14ac:dyDescent="0.2">
      <c r="A12" s="5" t="s">
        <v>33</v>
      </c>
      <c r="B12" s="2">
        <v>11200</v>
      </c>
      <c r="D12" s="3" t="s">
        <v>11</v>
      </c>
    </row>
    <row r="13" spans="1:5" x14ac:dyDescent="0.2">
      <c r="A13" s="7"/>
      <c r="B13" s="4"/>
      <c r="D13" s="3"/>
    </row>
    <row r="14" spans="1:5" x14ac:dyDescent="0.2">
      <c r="A14" s="127" t="s">
        <v>12</v>
      </c>
      <c r="B14" s="127"/>
      <c r="D14" s="3"/>
    </row>
    <row r="15" spans="1:5" x14ac:dyDescent="0.2">
      <c r="A15" s="3" t="s">
        <v>40</v>
      </c>
      <c r="B15">
        <v>0</v>
      </c>
      <c r="D15" s="3" t="s">
        <v>59</v>
      </c>
      <c r="E15">
        <v>160</v>
      </c>
    </row>
    <row r="16" spans="1:5" x14ac:dyDescent="0.2">
      <c r="A16" s="6" t="s">
        <v>65</v>
      </c>
      <c r="B16">
        <v>1200</v>
      </c>
      <c r="D16" s="3" t="s">
        <v>67</v>
      </c>
      <c r="E16">
        <v>0</v>
      </c>
    </row>
    <row r="17" spans="1:9" x14ac:dyDescent="0.2">
      <c r="A17" s="6" t="s">
        <v>66</v>
      </c>
      <c r="B17">
        <v>2800</v>
      </c>
      <c r="D17" s="3" t="s">
        <v>69</v>
      </c>
      <c r="E17">
        <v>8000</v>
      </c>
    </row>
    <row r="18" spans="1:9" x14ac:dyDescent="0.2">
      <c r="A18" s="6" t="s">
        <v>64</v>
      </c>
      <c r="B18">
        <v>4800</v>
      </c>
      <c r="D18" s="3" t="s">
        <v>68</v>
      </c>
      <c r="E18">
        <v>9600</v>
      </c>
    </row>
    <row r="19" spans="1:9" x14ac:dyDescent="0.2">
      <c r="A19" s="6" t="s">
        <v>16</v>
      </c>
      <c r="B19">
        <v>40000</v>
      </c>
      <c r="D19" s="3" t="s">
        <v>87</v>
      </c>
      <c r="E19">
        <v>22400</v>
      </c>
    </row>
    <row r="20" spans="1:9" x14ac:dyDescent="0.2">
      <c r="A20" s="6" t="s">
        <v>41</v>
      </c>
      <c r="B20">
        <v>64000</v>
      </c>
      <c r="D20" s="3" t="s">
        <v>70</v>
      </c>
      <c r="E20">
        <v>16000</v>
      </c>
      <c r="I20" s="3"/>
    </row>
    <row r="21" spans="1:9" x14ac:dyDescent="0.2">
      <c r="A21" s="6" t="s">
        <v>13</v>
      </c>
      <c r="B21">
        <v>24000</v>
      </c>
      <c r="D21" s="3" t="s">
        <v>71</v>
      </c>
      <c r="E21">
        <v>36000</v>
      </c>
      <c r="I21" s="3"/>
    </row>
    <row r="22" spans="1:9" x14ac:dyDescent="0.2">
      <c r="A22" s="6" t="s">
        <v>39</v>
      </c>
      <c r="B22">
        <v>7200</v>
      </c>
    </row>
    <row r="23" spans="1:9" x14ac:dyDescent="0.2">
      <c r="A23" s="6" t="s">
        <v>14</v>
      </c>
      <c r="B23">
        <v>1120</v>
      </c>
      <c r="D23" s="3" t="s">
        <v>100</v>
      </c>
      <c r="E23">
        <v>1</v>
      </c>
    </row>
    <row r="24" spans="1:9" x14ac:dyDescent="0.2">
      <c r="A24" s="6" t="s">
        <v>44</v>
      </c>
      <c r="B24">
        <v>2400</v>
      </c>
      <c r="D24" s="3" t="s">
        <v>101</v>
      </c>
      <c r="E24">
        <v>2</v>
      </c>
    </row>
    <row r="25" spans="1:9" x14ac:dyDescent="0.2">
      <c r="A25" s="6" t="s">
        <v>45</v>
      </c>
      <c r="B25">
        <v>6400</v>
      </c>
      <c r="D25" s="3" t="s">
        <v>102</v>
      </c>
      <c r="E25">
        <v>3</v>
      </c>
    </row>
    <row r="26" spans="1:9" x14ac:dyDescent="0.2">
      <c r="D26" s="3" t="s">
        <v>103</v>
      </c>
      <c r="E26">
        <v>4</v>
      </c>
    </row>
    <row r="27" spans="1:9" x14ac:dyDescent="0.2">
      <c r="A27" s="128"/>
      <c r="B27" s="128"/>
      <c r="D27" s="3" t="s">
        <v>3</v>
      </c>
      <c r="E27">
        <v>0</v>
      </c>
    </row>
    <row r="28" spans="1:9" x14ac:dyDescent="0.2">
      <c r="A28" s="3"/>
      <c r="D28" s="3" t="s">
        <v>20</v>
      </c>
      <c r="E28">
        <v>40000</v>
      </c>
    </row>
    <row r="29" spans="1:9" x14ac:dyDescent="0.2">
      <c r="A29" s="3"/>
    </row>
    <row r="30" spans="1:9" x14ac:dyDescent="0.2">
      <c r="A30" s="3" t="s">
        <v>17</v>
      </c>
      <c r="B30">
        <v>12000</v>
      </c>
      <c r="D30" s="3" t="s">
        <v>95</v>
      </c>
      <c r="E30">
        <v>64000</v>
      </c>
    </row>
    <row r="31" spans="1:9" x14ac:dyDescent="0.2">
      <c r="A31" s="3" t="s">
        <v>48</v>
      </c>
      <c r="B31">
        <v>56000</v>
      </c>
      <c r="D31" s="3" t="s">
        <v>96</v>
      </c>
      <c r="E31">
        <v>640000</v>
      </c>
    </row>
    <row r="32" spans="1:9" x14ac:dyDescent="0.2">
      <c r="A32" s="3" t="s">
        <v>49</v>
      </c>
      <c r="B32">
        <v>120000</v>
      </c>
    </row>
    <row r="33" spans="1:5" x14ac:dyDescent="0.2">
      <c r="A33" s="3" t="s">
        <v>50</v>
      </c>
      <c r="B33">
        <v>40000</v>
      </c>
      <c r="D33" s="3" t="s">
        <v>110</v>
      </c>
      <c r="E33">
        <v>0.5</v>
      </c>
    </row>
    <row r="34" spans="1:5" x14ac:dyDescent="0.2">
      <c r="A34" s="3" t="s">
        <v>51</v>
      </c>
      <c r="B34">
        <v>88000</v>
      </c>
      <c r="D34" s="3" t="s">
        <v>109</v>
      </c>
      <c r="E34">
        <v>0.4</v>
      </c>
    </row>
    <row r="35" spans="1:5" x14ac:dyDescent="0.2">
      <c r="A35" s="3" t="s">
        <v>74</v>
      </c>
      <c r="B35">
        <v>0</v>
      </c>
      <c r="D35" s="3" t="s">
        <v>111</v>
      </c>
      <c r="E35">
        <v>0.2</v>
      </c>
    </row>
    <row r="36" spans="1:5" x14ac:dyDescent="0.2">
      <c r="A36" s="3" t="s">
        <v>52</v>
      </c>
      <c r="B36">
        <v>64000</v>
      </c>
      <c r="D36" s="3" t="s">
        <v>112</v>
      </c>
      <c r="E36">
        <v>0.1</v>
      </c>
    </row>
    <row r="37" spans="1:5" x14ac:dyDescent="0.2">
      <c r="A37" s="3" t="s">
        <v>53</v>
      </c>
      <c r="B37">
        <v>80000</v>
      </c>
      <c r="D37" s="3" t="s">
        <v>113</v>
      </c>
      <c r="E37">
        <v>0.1</v>
      </c>
    </row>
    <row r="38" spans="1:5" x14ac:dyDescent="0.2">
      <c r="A38" s="3" t="s">
        <v>54</v>
      </c>
      <c r="B38">
        <v>160000</v>
      </c>
      <c r="D38" s="3" t="s">
        <v>115</v>
      </c>
      <c r="E38">
        <v>0</v>
      </c>
    </row>
    <row r="39" spans="1:5" x14ac:dyDescent="0.2">
      <c r="A39" s="3" t="s">
        <v>83</v>
      </c>
      <c r="B39">
        <v>0</v>
      </c>
      <c r="D39" s="3" t="s">
        <v>116</v>
      </c>
      <c r="E39">
        <v>0</v>
      </c>
    </row>
    <row r="40" spans="1:5" x14ac:dyDescent="0.2">
      <c r="A40" s="3" t="s">
        <v>84</v>
      </c>
      <c r="B40">
        <v>40000</v>
      </c>
    </row>
    <row r="41" spans="1:5" x14ac:dyDescent="0.2">
      <c r="A41" s="3" t="s">
        <v>85</v>
      </c>
      <c r="B41">
        <v>80000</v>
      </c>
      <c r="D41" s="2" t="s">
        <v>26</v>
      </c>
      <c r="E41">
        <v>0.6</v>
      </c>
    </row>
    <row r="42" spans="1:5" x14ac:dyDescent="0.2">
      <c r="A42" s="3" t="s">
        <v>86</v>
      </c>
      <c r="B42">
        <v>128000</v>
      </c>
      <c r="D42" s="2" t="s">
        <v>24</v>
      </c>
      <c r="E42">
        <v>0.3</v>
      </c>
    </row>
    <row r="43" spans="1:5" x14ac:dyDescent="0.2">
      <c r="A43" s="3" t="s">
        <v>73</v>
      </c>
      <c r="B43">
        <v>0</v>
      </c>
      <c r="D43" s="2" t="s">
        <v>25</v>
      </c>
      <c r="E43">
        <v>0.1</v>
      </c>
    </row>
    <row r="44" spans="1:5" x14ac:dyDescent="0.2">
      <c r="A44" s="3" t="s">
        <v>55</v>
      </c>
      <c r="B44">
        <v>800</v>
      </c>
      <c r="D44" s="2" t="s">
        <v>22</v>
      </c>
      <c r="E44">
        <v>0</v>
      </c>
    </row>
    <row r="45" spans="1:5" x14ac:dyDescent="0.2">
      <c r="A45" s="3" t="s">
        <v>56</v>
      </c>
      <c r="B45">
        <v>2400</v>
      </c>
    </row>
    <row r="46" spans="1:5" x14ac:dyDescent="0.2">
      <c r="A46" s="3" t="s">
        <v>57</v>
      </c>
      <c r="B46">
        <v>4000</v>
      </c>
      <c r="D46" s="3" t="s">
        <v>122</v>
      </c>
    </row>
    <row r="47" spans="1:5" x14ac:dyDescent="0.2">
      <c r="A47" s="3" t="s">
        <v>46</v>
      </c>
      <c r="B47">
        <v>24000</v>
      </c>
      <c r="D47" s="3" t="s">
        <v>123</v>
      </c>
    </row>
    <row r="48" spans="1:5" x14ac:dyDescent="0.2">
      <c r="A48" s="3" t="s">
        <v>47</v>
      </c>
      <c r="B48">
        <v>1600</v>
      </c>
      <c r="D48" s="6" t="s">
        <v>124</v>
      </c>
    </row>
    <row r="49" spans="1:5" x14ac:dyDescent="0.2">
      <c r="D49" s="6" t="s">
        <v>125</v>
      </c>
    </row>
    <row r="50" spans="1:5" x14ac:dyDescent="0.2">
      <c r="A50" t="s">
        <v>134</v>
      </c>
      <c r="B50">
        <v>3550</v>
      </c>
    </row>
    <row r="51" spans="1:5" x14ac:dyDescent="0.2">
      <c r="A51" t="s">
        <v>135</v>
      </c>
      <c r="B51">
        <v>2550</v>
      </c>
      <c r="D51" s="3" t="s">
        <v>141</v>
      </c>
      <c r="E51">
        <v>0.2</v>
      </c>
    </row>
    <row r="52" spans="1:5" x14ac:dyDescent="0.2">
      <c r="A52" t="s">
        <v>136</v>
      </c>
      <c r="B52">
        <v>16000</v>
      </c>
      <c r="D52" s="3" t="s">
        <v>142</v>
      </c>
      <c r="E52">
        <v>0.5</v>
      </c>
    </row>
    <row r="53" spans="1:5" x14ac:dyDescent="0.2">
      <c r="A53" t="s">
        <v>137</v>
      </c>
      <c r="B53">
        <v>10600</v>
      </c>
      <c r="D53" s="3" t="s">
        <v>143</v>
      </c>
      <c r="E53">
        <v>0.6</v>
      </c>
    </row>
    <row r="54" spans="1:5" x14ac:dyDescent="0.2">
      <c r="D54" s="3" t="s">
        <v>144</v>
      </c>
      <c r="E54">
        <v>0.8</v>
      </c>
    </row>
    <row r="55" spans="1:5" x14ac:dyDescent="0.2">
      <c r="D55" s="3" t="s">
        <v>145</v>
      </c>
      <c r="E55">
        <v>1</v>
      </c>
    </row>
  </sheetData>
  <mergeCells count="7">
    <mergeCell ref="D5:E6"/>
    <mergeCell ref="A14:B14"/>
    <mergeCell ref="A27:B27"/>
    <mergeCell ref="A1:B1"/>
    <mergeCell ref="A2:B2"/>
    <mergeCell ref="A8:B9"/>
    <mergeCell ref="D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Bauvorhaben</vt:lpstr>
      <vt:lpstr>Kostenrechner</vt:lpstr>
      <vt:lpstr>Preisliste</vt:lpstr>
      <vt:lpstr>Kostenrechner!Grundstück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Roman Kretzer</cp:lastModifiedBy>
  <cp:lastPrinted>2017-02-26T15:58:01Z</cp:lastPrinted>
  <dcterms:created xsi:type="dcterms:W3CDTF">1996-10-17T05:27:31Z</dcterms:created>
  <dcterms:modified xsi:type="dcterms:W3CDTF">2017-02-26T16:03:01Z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-1579621127</vt:i4>
  </property>
  <property fmtid="{D5CDD505-2E9C-101B-9397-08002B2CF9AE}" pid="3" name="_EmailSubject">
    <vt:lpwstr/>
  </property>
  <property fmtid="{D5CDD505-2E9C-101B-9397-08002B2CF9AE}" pid="4" name="_AuthorEmail">
    <vt:lpwstr>HemerleT@teilnehmer.bfz-peters.de</vt:lpwstr>
  </property>
  <property fmtid="{D5CDD505-2E9C-101B-9397-08002B2CF9AE}" pid="5" name="_AuthorEmailDisplayName">
    <vt:lpwstr>Hemerle, Thomas   IK200807</vt:lpwstr>
  </property>
  <property fmtid="{D5CDD505-2E9C-101B-9397-08002B2CF9AE}" pid="6" name="_PreviousAdHocReviewCycleID">
    <vt:i4>-1579621127</vt:i4>
  </property>
  <property fmtid="{D5CDD505-2E9C-101B-9397-08002B2CF9AE}" pid="7" name="_ReviewingToolsShownOnce">
    <vt:lpwstr/>
  </property>
</Properties>
</file>